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-2" sheetId="6" r:id="rId6"/>
    <sheet name="січень 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<sst xmlns="http://schemas.openxmlformats.org/spreadsheetml/2006/main" count="1110" uniqueCount="282">
  <si>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</si>
  <si>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</si>
  <si>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</si>
  <si>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</si>
  <si>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</si>
  <si>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</si>
  <si>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</si>
  <si>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</si>
  <si>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</si>
  <si>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</si>
  <si>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</si>
  <si>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</si>
  <si>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</si>
  <si>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</si>
  <si>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</si>
  <si>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</si>
  <si>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</si>
  <si>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</si>
  <si>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</si>
  <si>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</si>
  <si>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</si>
  <si>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</si>
  <si>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</si>
  <si>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</si>
  <si>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</si>
  <si>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</si>
  <si>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</si>
  <si>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</si>
  <si>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</si>
  <si>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</si>
  <si>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</si>
  <si>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</si>
  <si>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</si>
  <si>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</si>
  <si>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</si>
  <si>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</si>
  <si>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</si>
  <si>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</si>
  <si>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</si>
  <si>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</si>
  <si>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</si>
  <si>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</si>
  <si>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</si>
  <si>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</si>
  <si>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</si>
  <si>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</si>
  <si>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</si>
  <si>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</si>
  <si>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</si>
  <si>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</si>
  <si>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</si>
  <si>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</si>
  <si>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</si>
  <si>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</si>
  <si>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</si>
  <si>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</si>
  <si>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</si>
  <si>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</si>
  <si>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</si>
  <si>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</si>
  <si>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</si>
  <si>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</si>
  <si>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</si>
  <si>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</si>
  <si>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</si>
  <si>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</si>
  <si>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</si>
  <si>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</si>
  <si>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</si>
  <si>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</si>
  <si>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</si>
  <si>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</si>
  <si>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</si>
  <si>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</si>
  <si>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</si>
  <si>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</si>
  <si>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</si>
  <si>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</si>
  <si>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</si>
  <si>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</si>
  <si>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</si>
  <si>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</si>
  <si>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</si>
  <si>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</si>
  <si>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</si>
  <si>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</si>
  <si>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</si>
  <si>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</si>
  <si>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</si>
  <si>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</si>
  <si>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</si>
  <si>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</si>
  <si>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</si>
  <si>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</si>
  <si>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</si>
  <si>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</si>
  <si>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</si>
  <si>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</si>
  <si>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</si>
  <si>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</si>
  <si>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</si>
  <si>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</si>
  <si>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</si>
  <si>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</si>
  <si>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</si>
  <si>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</si>
  <si>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</si>
  <si>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</si>
  <si>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</si>
  <si>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</si>
  <si>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</si>
  <si>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</si>
  <si>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</si>
  <si>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</si>
  <si>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</si>
  <si>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</si>
  <si>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</si>
  <si>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</si>
  <si>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</si>
  <si>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</si>
  <si>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</si>
  <si>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</si>
  <si>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</si>
  <si>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</si>
  <si>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</si>
  <si>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</si>
  <si>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</si>
  <si>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</si>
  <si>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</si>
  <si>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</si>
  <si>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</si>
  <si>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</si>
  <si>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</si>
  <si>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</si>
  <si>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</si>
  <si>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</si>
  <si>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</si>
  <si>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</si>
  <si>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</si>
  <si>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</si>
  <si>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</si>
  <si>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</si>
  <si>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</si>
  <si>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</si>
  <si>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</si>
  <si>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</si>
  <si>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</si>
  <si>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</si>
  <si>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</si>
  <si>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</si>
  <si>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</si>
  <si>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</si>
  <si>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</si>
  <si>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</si>
  <si>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</si>
  <si>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</si>
  <si>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</si>
  <si>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</si>
  <si>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</si>
  <si>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</si>
  <si>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</si>
  <si>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</si>
  <si>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</si>
  <si>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</si>
  <si>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</si>
  <si>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</si>
  <si>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</si>
  <si>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</si>
  <si>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</si>
  <si>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</si>
  <si>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</si>
  <si>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</si>
  <si>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</si>
  <si>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</si>
  <si>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</si>
  <si>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</si>
  <si>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</si>
  <si>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</si>
  <si>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</si>
  <si>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</si>
  <si>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</si>
  <si>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</si>
  <si>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</si>
  <si>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</si>
  <si>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</si>
  <si>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</si>
  <si>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</si>
  <si>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</si>
  <si>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</si>
  <si>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</si>
  <si>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</si>
  <si>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</si>
  <si>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</si>
  <si>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</si>
  <si>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</si>
  <si>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</si>
  <si>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</si>
  <si>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</si>
  <si>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</si>
  <si>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</si>
  <si>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</si>
  <si>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</si>
  <si>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</si>
  <si>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</si>
  <si>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</si>
  <si>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</si>
  <si>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</si>
  <si>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</si>
  <si>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</si>
  <si>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</si>
  <si>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</si>
  <si>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</si>
  <si>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</si>
  <si>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</si>
  <si>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</si>
  <si>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</si>
  <si>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</si>
  <si>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</si>
  <si>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</si>
  <si>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</si>
  <si>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</si>
  <si>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</si>
  <si>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</si>
  <si>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</si>
  <si>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</si>
  <si>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</si>
  <si>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</si>
  <si>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</si>
  <si>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</si>
  <si>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</si>
  <si>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</si>
  <si>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</si>
  <si>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</si>
  <si>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</si>
  <si>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</si>
  <si>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</si>
  <si>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</si>
  <si>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</si>
  <si>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</si>
  <si>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</si>
  <si>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</si>
  <si>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</si>
  <si>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</si>
  <si>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</si>
  <si>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</si>
  <si>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</si>
  <si>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</si>
  <si>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</si>
  <si>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</si>
  <si>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</si>
  <si>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</si>
  <si>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</si>
  <si>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</si>
  <si>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</si>
  <si>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</si>
  <si>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</si>
  <si>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</si>
  <si>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</si>
  <si>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</si>
  <si>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</si>
  <si>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</si>
  <si>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</si>
  <si>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</si>
  <si>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</si>
  <si>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</si>
  <si>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</si>
  <si>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</si>
  <si>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</si>
  <si>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</si>
  <si>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</si>
  <si>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</si>
  <si>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</si>
  <si>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</si>
  <si>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</si>
  <si>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</si>
  <si>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План  на січень-червень</t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</si>
  <si>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</si>
  <si>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</si>
  <si>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</si>
  <si>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</si>
  <si>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05.06.2015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</si>
  <si>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04.06.15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</si>
</sst>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87" sqref="G8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280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278</v>
      </c>
      <c r="N3" s="218" t="s">
        <v>279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275</v>
      </c>
      <c r="F4" s="223" t="s">
        <v>116</v>
      </c>
      <c r="G4" s="225" t="s">
        <v>276</v>
      </c>
      <c r="H4" s="227" t="s">
        <v>277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281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265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264509.89999999997</v>
      </c>
      <c r="F8" s="18">
        <f>F9+F15+F18+F19+F20+F32+F17</f>
        <v>256911.73999999996</v>
      </c>
      <c r="G8" s="18">
        <f aca="true" t="shared" si="0" ref="G8:G54">F8-E8</f>
        <v>-7598.1600000000035</v>
      </c>
      <c r="H8" s="45">
        <f>F8/E8*100</f>
        <v>97.12745723316972</v>
      </c>
      <c r="I8" s="31">
        <f aca="true" t="shared" si="1" ref="I8:I54">F8-D8</f>
        <v>-260517.26000000004</v>
      </c>
      <c r="J8" s="31">
        <f aca="true" t="shared" si="2" ref="J8:J14">F8/D8*100</f>
        <v>49.65159277891266</v>
      </c>
      <c r="K8" s="18">
        <f>K9+K15+K18+K19+K20+K32</f>
        <v>61262.820000000014</v>
      </c>
      <c r="L8" s="18"/>
      <c r="M8" s="18">
        <f>M9+M15+M18+M19+M20+M32+M17</f>
        <v>40984.19999999999</v>
      </c>
      <c r="N8" s="18">
        <f>N9+N15+N18+N19+N20+N32+N17</f>
        <v>4179.639999999999</v>
      </c>
      <c r="O8" s="31">
        <f aca="true" t="shared" si="3" ref="O8:O54">N8-M8</f>
        <v>-36804.55999999999</v>
      </c>
      <c r="P8" s="31">
        <f>F8/M8*100</f>
        <v>626.8555687313649</v>
      </c>
      <c r="Q8" s="31">
        <f>N8-33748.16</f>
        <v>-29568.520000000004</v>
      </c>
      <c r="R8" s="125">
        <f>N8/33748.16</f>
        <v>0.1238479371912424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155358.65</v>
      </c>
      <c r="F9" s="143">
        <v>141505.1</v>
      </c>
      <c r="G9" s="43">
        <f t="shared" si="0"/>
        <v>-13853.549999999988</v>
      </c>
      <c r="H9" s="35">
        <f aca="true" t="shared" si="4" ref="H9:H32">F9/E9*100</f>
        <v>91.08285892031117</v>
      </c>
      <c r="I9" s="50">
        <f t="shared" si="1"/>
        <v>-171184.9</v>
      </c>
      <c r="J9" s="50">
        <f t="shared" si="2"/>
        <v>45.25411749656209</v>
      </c>
      <c r="K9" s="132">
        <f>F9-148760.15/75*60</f>
        <v>22496.98000000001</v>
      </c>
      <c r="L9" s="132">
        <f>F9/(148760.15/75*60)*100</f>
        <v>118.90373530814537</v>
      </c>
      <c r="M9" s="35">
        <f>E9-травень!E9</f>
        <v>27546</v>
      </c>
      <c r="N9" s="35">
        <f>F9-травень!F9</f>
        <v>3422.600000000006</v>
      </c>
      <c r="O9" s="47">
        <f t="shared" si="3"/>
        <v>-24123.399999999994</v>
      </c>
      <c r="P9" s="50">
        <f aca="true" t="shared" si="5" ref="P9:P32">N9/M9*100</f>
        <v>12.42503448776594</v>
      </c>
      <c r="Q9" s="132">
        <f>N9-26568.11</f>
        <v>-23145.509999999995</v>
      </c>
      <c r="R9" s="133">
        <f>N9/26568.11</f>
        <v>0.12882361598171665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136694.25</v>
      </c>
      <c r="F10" s="144">
        <v>125235.41</v>
      </c>
      <c r="G10" s="135">
        <f t="shared" si="0"/>
        <v>-11458.839999999997</v>
      </c>
      <c r="H10" s="137">
        <f t="shared" si="4"/>
        <v>91.61717482630031</v>
      </c>
      <c r="I10" s="136">
        <f t="shared" si="1"/>
        <v>-115174.59</v>
      </c>
      <c r="J10" s="136">
        <f t="shared" si="2"/>
        <v>52.0924295994343</v>
      </c>
      <c r="K10" s="138">
        <f>F10-134812.74/75*60</f>
        <v>17385.218000000008</v>
      </c>
      <c r="L10" s="138">
        <f>F10/(134812.74/75*60)*100</f>
        <v>116.11978400557692</v>
      </c>
      <c r="M10" s="137">
        <f>E10-травень!E10</f>
        <v>24072</v>
      </c>
      <c r="N10" s="137">
        <f>F10-травень!F10</f>
        <v>3041.6699999999983</v>
      </c>
      <c r="O10" s="138">
        <f t="shared" si="3"/>
        <v>-21030.33</v>
      </c>
      <c r="P10" s="136">
        <f t="shared" si="5"/>
        <v>12.635717846460611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144">
        <v>7773.09</v>
      </c>
      <c r="G11" s="135">
        <f t="shared" si="0"/>
        <v>-3014.91</v>
      </c>
      <c r="H11" s="137">
        <f t="shared" si="4"/>
        <v>72.05311457174639</v>
      </c>
      <c r="I11" s="136">
        <f t="shared" si="1"/>
        <v>-15926.91</v>
      </c>
      <c r="J11" s="136">
        <f t="shared" si="2"/>
        <v>32.79784810126583</v>
      </c>
      <c r="K11" s="138">
        <f>F11-9052.89/75*60</f>
        <v>530.7780000000002</v>
      </c>
      <c r="L11" s="138">
        <f>F11/(9052.89/75*60)*100</f>
        <v>107.32884747301689</v>
      </c>
      <c r="M11" s="137">
        <f>E11-травень!E11</f>
        <v>1830</v>
      </c>
      <c r="N11" s="137">
        <f>F11-травень!F11</f>
        <v>1.699999999999818</v>
      </c>
      <c r="O11" s="138">
        <f t="shared" si="3"/>
        <v>-1828.3000000000002</v>
      </c>
      <c r="P11" s="136">
        <f t="shared" si="5"/>
        <v>0.09289617486337803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144">
        <v>2212.05</v>
      </c>
      <c r="G12" s="135">
        <f t="shared" si="0"/>
        <v>-286.9499999999998</v>
      </c>
      <c r="H12" s="137">
        <f t="shared" si="4"/>
        <v>88.51740696278512</v>
      </c>
      <c r="I12" s="136">
        <f t="shared" si="1"/>
        <v>-3587.95</v>
      </c>
      <c r="J12" s="136">
        <f t="shared" si="2"/>
        <v>38.13879310344828</v>
      </c>
      <c r="K12" s="138">
        <f>F12-2098.76/75*60</f>
        <v>533.0420000000001</v>
      </c>
      <c r="L12" s="138">
        <f>F12/(2098.76/75*60)*100</f>
        <v>131.74743658160057</v>
      </c>
      <c r="M12" s="137">
        <f>E12-травень!E12</f>
        <v>330</v>
      </c>
      <c r="N12" s="137">
        <f>F12-травень!F12</f>
        <v>43.01999999999998</v>
      </c>
      <c r="O12" s="138">
        <f t="shared" si="3"/>
        <v>-286.98</v>
      </c>
      <c r="P12" s="136">
        <f t="shared" si="5"/>
        <v>13.036363636363632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144">
        <v>2379.11</v>
      </c>
      <c r="G13" s="135">
        <f t="shared" si="0"/>
        <v>-964.29</v>
      </c>
      <c r="H13" s="137">
        <f t="shared" si="4"/>
        <v>71.15840162708619</v>
      </c>
      <c r="I13" s="136">
        <f t="shared" si="1"/>
        <v>-6020.889999999999</v>
      </c>
      <c r="J13" s="136">
        <f t="shared" si="2"/>
        <v>28.322738095238098</v>
      </c>
      <c r="K13" s="138">
        <f>F13-2795.76/75*60</f>
        <v>142.50199999999995</v>
      </c>
      <c r="L13" s="138">
        <f>F13/(2795.76/75*60)*100</f>
        <v>106.37134446447479</v>
      </c>
      <c r="M13" s="137">
        <f>E13-травень!E13</f>
        <v>924</v>
      </c>
      <c r="N13" s="137">
        <f>F13-травень!F13</f>
        <v>75.44000000000005</v>
      </c>
      <c r="O13" s="138">
        <f t="shared" si="3"/>
        <v>-848.56</v>
      </c>
      <c r="P13" s="136">
        <f t="shared" si="5"/>
        <v>8.16450216450217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144">
        <v>3905.44</v>
      </c>
      <c r="G14" s="135">
        <f t="shared" si="0"/>
        <v>1871.44</v>
      </c>
      <c r="H14" s="137">
        <f t="shared" si="4"/>
        <v>192.007866273353</v>
      </c>
      <c r="I14" s="136">
        <f t="shared" si="1"/>
        <v>-474.55999999999995</v>
      </c>
      <c r="J14" s="136">
        <f t="shared" si="2"/>
        <v>89.16529680365298</v>
      </c>
      <c r="K14" s="138">
        <f>F14-0</f>
        <v>3905.44</v>
      </c>
      <c r="L14" s="138"/>
      <c r="M14" s="137">
        <f>E14-травень!E14</f>
        <v>390</v>
      </c>
      <c r="N14" s="137">
        <f>F14-травень!F14</f>
        <v>260.7800000000002</v>
      </c>
      <c r="O14" s="138">
        <f t="shared" si="3"/>
        <v>-129.2199999999998</v>
      </c>
      <c r="P14" s="136">
        <f t="shared" si="5"/>
        <v>66.86666666666672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143">
        <v>-880.74</v>
      </c>
      <c r="G15" s="43">
        <f t="shared" si="0"/>
        <v>-1052.04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E15-травень!E15</f>
        <v>0.10000000000002274</v>
      </c>
      <c r="N15" s="35">
        <f>F15-травень!F15</f>
        <v>0</v>
      </c>
      <c r="O15" s="47">
        <f t="shared" si="3"/>
        <v>-0.10000000000002274</v>
      </c>
      <c r="P15" s="50"/>
      <c r="Q15" s="50">
        <f>N15-358.81</f>
        <v>-358.81</v>
      </c>
      <c r="R15" s="126">
        <f>N15/358.81</f>
        <v>0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137">
        <f>E16-травень!E16</f>
        <v>0</v>
      </c>
      <c r="N16" s="137">
        <f>F16-травень!F16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18502.75</v>
      </c>
      <c r="F19" s="168">
        <v>23154.81</v>
      </c>
      <c r="G19" s="43">
        <f t="shared" si="0"/>
        <v>4652.060000000001</v>
      </c>
      <c r="H19" s="35">
        <f t="shared" si="4"/>
        <v>125.14253286673602</v>
      </c>
      <c r="I19" s="50">
        <f t="shared" si="1"/>
        <v>-6795.189999999999</v>
      </c>
      <c r="J19" s="178">
        <f>F19/D19*100</f>
        <v>77.31155258764608</v>
      </c>
      <c r="K19" s="179">
        <f>F19-0</f>
        <v>23154.81</v>
      </c>
      <c r="L19" s="180"/>
      <c r="M19" s="35">
        <f>E19-травень!E19</f>
        <v>2720</v>
      </c>
      <c r="N19" s="35">
        <f>F19-травень!F19</f>
        <v>14.330000000001746</v>
      </c>
      <c r="O19" s="47">
        <f t="shared" si="3"/>
        <v>-2705.6699999999983</v>
      </c>
      <c r="P19" s="50">
        <f t="shared" si="5"/>
        <v>0.5268382352941818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86469.4</v>
      </c>
      <c r="F20" s="169">
        <f>F21+F25+F27+F26</f>
        <v>89096.05999999998</v>
      </c>
      <c r="G20" s="43">
        <f t="shared" si="0"/>
        <v>2626.659999999989</v>
      </c>
      <c r="H20" s="35">
        <f t="shared" si="4"/>
        <v>103.03767575581651</v>
      </c>
      <c r="I20" s="50">
        <f t="shared" si="1"/>
        <v>-77673.94000000002</v>
      </c>
      <c r="J20" s="178">
        <f aca="true" t="shared" si="6" ref="J20:J46">F20/D20*100</f>
        <v>53.42451280206271</v>
      </c>
      <c r="K20" s="178">
        <f>K21+K25+K26+K27</f>
        <v>18396.499999999996</v>
      </c>
      <c r="L20" s="136"/>
      <c r="M20" s="35">
        <f>E20-травень!E20</f>
        <v>10717.799999999988</v>
      </c>
      <c r="N20" s="35">
        <f>F20-травень!F20</f>
        <v>742.7099999999919</v>
      </c>
      <c r="O20" s="47">
        <f t="shared" si="3"/>
        <v>-9975.089999999997</v>
      </c>
      <c r="P20" s="50">
        <f t="shared" si="5"/>
        <v>6.929687062643384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48277.2</v>
      </c>
      <c r="F21" s="169">
        <f>F22+F23+F24</f>
        <v>46128.979999999996</v>
      </c>
      <c r="G21" s="43">
        <f t="shared" si="0"/>
        <v>-2148.220000000001</v>
      </c>
      <c r="H21" s="35">
        <f t="shared" si="4"/>
        <v>95.55023903623243</v>
      </c>
      <c r="I21" s="50">
        <f t="shared" si="1"/>
        <v>-52071.020000000004</v>
      </c>
      <c r="J21" s="178">
        <f t="shared" si="6"/>
        <v>46.974521384928714</v>
      </c>
      <c r="K21" s="178">
        <f>K22+K23+K24</f>
        <v>13294.720000000001</v>
      </c>
      <c r="L21" s="136"/>
      <c r="M21" s="35">
        <f>E21-травень!E21</f>
        <v>8363.099999999999</v>
      </c>
      <c r="N21" s="35">
        <f>F21-травень!F21</f>
        <v>337.6299999999901</v>
      </c>
      <c r="O21" s="47">
        <f t="shared" si="3"/>
        <v>-8025.470000000008</v>
      </c>
      <c r="P21" s="50">
        <f t="shared" si="5"/>
        <v>4.037139338283533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286.2</v>
      </c>
      <c r="F22" s="144">
        <v>4452.04</v>
      </c>
      <c r="G22" s="135">
        <f t="shared" si="0"/>
        <v>4165.84</v>
      </c>
      <c r="H22" s="137">
        <f t="shared" si="4"/>
        <v>1555.569531795947</v>
      </c>
      <c r="I22" s="136">
        <f t="shared" si="1"/>
        <v>3452.04</v>
      </c>
      <c r="J22" s="136">
        <f t="shared" si="6"/>
        <v>445.204</v>
      </c>
      <c r="K22" s="136">
        <f>F22-129.75</f>
        <v>4322.29</v>
      </c>
      <c r="L22" s="136">
        <f>F22/129.75*100</f>
        <v>3431.2447013487476</v>
      </c>
      <c r="M22" s="137">
        <f>E22-травень!E22</f>
        <v>10.099999999999966</v>
      </c>
      <c r="N22" s="137">
        <f>F22-травень!F22</f>
        <v>12.579999999999927</v>
      </c>
      <c r="O22" s="138">
        <f t="shared" si="3"/>
        <v>2.4799999999999613</v>
      </c>
      <c r="P22" s="136">
        <f t="shared" si="5"/>
        <v>124.55445544554426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E23-травень!E23</f>
        <v>0</v>
      </c>
      <c r="N23" s="137">
        <f>F23-травень!F23</f>
        <v>0</v>
      </c>
      <c r="O23" s="138">
        <f t="shared" si="3"/>
        <v>0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144">
        <v>41503.85</v>
      </c>
      <c r="G24" s="135">
        <f t="shared" si="0"/>
        <v>-6237.1500000000015</v>
      </c>
      <c r="H24" s="137">
        <f t="shared" si="4"/>
        <v>86.93544332963282</v>
      </c>
      <c r="I24" s="136">
        <f t="shared" si="1"/>
        <v>-54196.15</v>
      </c>
      <c r="J24" s="136">
        <f t="shared" si="6"/>
        <v>43.36870428422153</v>
      </c>
      <c r="K24" s="139">
        <f>F24-32704.51</f>
        <v>8799.34</v>
      </c>
      <c r="L24" s="139">
        <f>F24/32704.51*100</f>
        <v>126.90558580452667</v>
      </c>
      <c r="M24" s="137">
        <f>E24-травень!E24</f>
        <v>8353</v>
      </c>
      <c r="N24" s="137">
        <f>F24-травень!F24</f>
        <v>325.04999999999563</v>
      </c>
      <c r="O24" s="138">
        <f t="shared" si="3"/>
        <v>-8027.950000000004</v>
      </c>
      <c r="P24" s="136">
        <f t="shared" si="5"/>
        <v>3.891416257631936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168">
        <v>33.2</v>
      </c>
      <c r="G25" s="43">
        <f t="shared" si="0"/>
        <v>11.000000000000004</v>
      </c>
      <c r="H25" s="35">
        <f t="shared" si="4"/>
        <v>149.54954954954957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E25-травень!E25</f>
        <v>4.699999999999999</v>
      </c>
      <c r="N25" s="35">
        <f>F25-травень!F25</f>
        <v>0</v>
      </c>
      <c r="O25" s="47">
        <f t="shared" si="3"/>
        <v>-4.699999999999999</v>
      </c>
      <c r="P25" s="50">
        <f t="shared" si="5"/>
        <v>0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-250.89</v>
      </c>
      <c r="G26" s="43">
        <f t="shared" si="0"/>
        <v>-250.89</v>
      </c>
      <c r="H26" s="35"/>
      <c r="I26" s="50">
        <f t="shared" si="1"/>
        <v>-250.89</v>
      </c>
      <c r="J26" s="136"/>
      <c r="K26" s="178">
        <f>F26-2664.98</f>
        <v>-2915.87</v>
      </c>
      <c r="L26" s="178">
        <f>F26/2664.98*100</f>
        <v>-9.41432956344888</v>
      </c>
      <c r="M26" s="35">
        <f>E26-травень!E26</f>
        <v>0</v>
      </c>
      <c r="N26" s="35">
        <f>F26-травень!F26</f>
        <v>-45.39999999999998</v>
      </c>
      <c r="O26" s="47">
        <f t="shared" si="3"/>
        <v>-45.39999999999998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38170</v>
      </c>
      <c r="F27" s="168">
        <v>43184.77</v>
      </c>
      <c r="G27" s="43">
        <f t="shared" si="0"/>
        <v>5014.769999999997</v>
      </c>
      <c r="H27" s="35">
        <f t="shared" si="4"/>
        <v>113.13798794865076</v>
      </c>
      <c r="I27" s="50">
        <f t="shared" si="1"/>
        <v>-25315.230000000003</v>
      </c>
      <c r="J27" s="178">
        <f t="shared" si="6"/>
        <v>63.04345985401459</v>
      </c>
      <c r="K27" s="132">
        <f>F27-35174.22</f>
        <v>8010.549999999996</v>
      </c>
      <c r="L27" s="132">
        <f>F27/35174.22*100</f>
        <v>122.7739236292944</v>
      </c>
      <c r="M27" s="35">
        <f>E27-травень!E27</f>
        <v>2350</v>
      </c>
      <c r="N27" s="35">
        <f>F27-травень!F27</f>
        <v>450.4799999999959</v>
      </c>
      <c r="O27" s="47">
        <f t="shared" si="3"/>
        <v>-1899.520000000004</v>
      </c>
      <c r="P27" s="50">
        <f t="shared" si="5"/>
        <v>19.169361702127485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9740</v>
      </c>
      <c r="F29" s="144">
        <v>10916.01</v>
      </c>
      <c r="G29" s="135">
        <f t="shared" si="0"/>
        <v>1176.0100000000002</v>
      </c>
      <c r="H29" s="137">
        <f t="shared" si="4"/>
        <v>112.07402464065707</v>
      </c>
      <c r="I29" s="136">
        <f t="shared" si="1"/>
        <v>-5583.99</v>
      </c>
      <c r="J29" s="136">
        <f t="shared" si="6"/>
        <v>66.15763636363636</v>
      </c>
      <c r="K29" s="139">
        <f>F29-9886.89</f>
        <v>1029.1200000000008</v>
      </c>
      <c r="L29" s="139">
        <f>F29/9886.89*100</f>
        <v>110.40893546909089</v>
      </c>
      <c r="M29" s="137">
        <f>E29-травень!E29</f>
        <v>600</v>
      </c>
      <c r="N29" s="137">
        <f>F29-травень!F29</f>
        <v>90.55999999999949</v>
      </c>
      <c r="O29" s="138">
        <f t="shared" si="3"/>
        <v>-509.4400000000005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28430</v>
      </c>
      <c r="F30" s="144">
        <v>32263</v>
      </c>
      <c r="G30" s="135">
        <f t="shared" si="0"/>
        <v>3833</v>
      </c>
      <c r="H30" s="137">
        <f t="shared" si="4"/>
        <v>113.4822370735139</v>
      </c>
      <c r="I30" s="136">
        <f t="shared" si="1"/>
        <v>-19737</v>
      </c>
      <c r="J30" s="136">
        <f t="shared" si="6"/>
        <v>62.044230769230765</v>
      </c>
      <c r="K30" s="139">
        <f>F30-25287.05</f>
        <v>6975.950000000001</v>
      </c>
      <c r="L30" s="139">
        <f>F30/25287.05*100</f>
        <v>127.58704554307442</v>
      </c>
      <c r="M30" s="137">
        <f>E30-травень!E30</f>
        <v>1750</v>
      </c>
      <c r="N30" s="137">
        <f>F30-травень!F30</f>
        <v>359.91999999999825</v>
      </c>
      <c r="O30" s="138">
        <f t="shared" si="3"/>
        <v>-1390.0800000000017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E31-травень!E31</f>
        <v>0</v>
      </c>
      <c r="N31" s="137">
        <f>F31-травень!F31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168">
        <v>4020.62</v>
      </c>
      <c r="G32" s="43">
        <f t="shared" si="0"/>
        <v>25.81999999999971</v>
      </c>
      <c r="H32" s="35">
        <f t="shared" si="4"/>
        <v>100.646340242315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E32-травень!E32</f>
        <v>0.3000000000001819</v>
      </c>
      <c r="N32" s="35">
        <f>F32-травень!F32</f>
        <v>0</v>
      </c>
      <c r="O32" s="47">
        <f t="shared" si="3"/>
        <v>-0.3000000000001819</v>
      </c>
      <c r="P32" s="50">
        <f t="shared" si="5"/>
        <v>0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18">
        <f>F34+F35+F36+F37+F38+F41+F42+F47+F48+F52+F40+F39</f>
        <v>14162.970000000001</v>
      </c>
      <c r="G33" s="44">
        <f t="shared" si="0"/>
        <v>8045.470000000001</v>
      </c>
      <c r="H33" s="45">
        <f>F33/E33*100</f>
        <v>231.51565181855335</v>
      </c>
      <c r="I33" s="31">
        <f t="shared" si="1"/>
        <v>1595.8700000000008</v>
      </c>
      <c r="J33" s="31">
        <f t="shared" si="6"/>
        <v>112.69879287982111</v>
      </c>
      <c r="K33" s="18">
        <f>K34+K35+K36+K37+K38+K41+K42+K47+K48+K52+K40</f>
        <v>8812.68</v>
      </c>
      <c r="L33" s="18"/>
      <c r="M33" s="18">
        <f>M34+M35+M36+M37+M38+M41+M42+M47+M48+M52+M40+M39</f>
        <v>954.5</v>
      </c>
      <c r="N33" s="18">
        <f>N34+N35+N36+N37+N38+N41+N42+N47+N48+N52+N40+N39</f>
        <v>1167.4400000000005</v>
      </c>
      <c r="O33" s="49">
        <f t="shared" si="3"/>
        <v>212.9400000000005</v>
      </c>
      <c r="P33" s="31">
        <f>N33/M33*100</f>
        <v>122.30906233630179</v>
      </c>
      <c r="Q33" s="31">
        <f>N33-1017.63</f>
        <v>149.8100000000005</v>
      </c>
      <c r="R33" s="127">
        <f>N33/1017.63</f>
        <v>1.1472146064876236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143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0"/>
        <v>112.8</v>
      </c>
      <c r="H36" s="35"/>
      <c r="I36" s="50">
        <f t="shared" si="1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E36-травень!E36</f>
        <v>0</v>
      </c>
      <c r="N36" s="35">
        <f>F36-травень!F36</f>
        <v>0</v>
      </c>
      <c r="O36" s="47">
        <f t="shared" si="3"/>
        <v>0</v>
      </c>
      <c r="P36" s="50"/>
      <c r="Q36" s="50">
        <f>N36-4.23</f>
        <v>-4.23</v>
      </c>
      <c r="R36" s="126">
        <f>N36/4.23</f>
        <v>0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143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F37-5.08</f>
        <v>-5.08</v>
      </c>
      <c r="L37" s="50">
        <f>F37/5.08*100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143">
        <v>67.11</v>
      </c>
      <c r="G38" s="43">
        <f t="shared" si="0"/>
        <v>2.1099999999999994</v>
      </c>
      <c r="H38" s="35">
        <f>F38/E38*100</f>
        <v>103.24615384615386</v>
      </c>
      <c r="I38" s="50">
        <f t="shared" si="1"/>
        <v>-72.89</v>
      </c>
      <c r="J38" s="50">
        <f t="shared" si="6"/>
        <v>47.93571428571429</v>
      </c>
      <c r="K38" s="50">
        <f>F38-47.09</f>
        <v>20.019999999999996</v>
      </c>
      <c r="L38" s="50">
        <f>F38/47.09*100</f>
        <v>142.51433425355702</v>
      </c>
      <c r="M38" s="35">
        <f>E38-травень!E38</f>
        <v>14</v>
      </c>
      <c r="N38" s="35">
        <f>F38-травень!F38</f>
        <v>1.9299999999999926</v>
      </c>
      <c r="O38" s="47">
        <f t="shared" si="3"/>
        <v>-12.070000000000007</v>
      </c>
      <c r="P38" s="50">
        <f>N38/M38*100</f>
        <v>13.785714285714231</v>
      </c>
      <c r="Q38" s="50">
        <f>N38-9.02</f>
        <v>-7.090000000000007</v>
      </c>
      <c r="R38" s="126">
        <f>N38/9.02</f>
        <v>0.21396895787139608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E39-травень!E39</f>
        <v>0</v>
      </c>
      <c r="N39" s="35">
        <f>F39-травень!F39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4251.8</v>
      </c>
      <c r="G40" s="43"/>
      <c r="H40" s="35"/>
      <c r="I40" s="50">
        <f t="shared" si="1"/>
        <v>4251.8</v>
      </c>
      <c r="J40" s="50"/>
      <c r="K40" s="50">
        <f>F40-0</f>
        <v>4251.8</v>
      </c>
      <c r="L40" s="50"/>
      <c r="M40" s="35">
        <f>E40-травень!E40</f>
        <v>0</v>
      </c>
      <c r="N40" s="35">
        <f>F40-травень!F40</f>
        <v>136.26000000000022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143">
        <v>4302.68</v>
      </c>
      <c r="G41" s="43">
        <f t="shared" si="0"/>
        <v>782.6800000000003</v>
      </c>
      <c r="H41" s="35">
        <f>F41/E41*100</f>
        <v>122.23522727272729</v>
      </c>
      <c r="I41" s="50">
        <f t="shared" si="1"/>
        <v>-2597.3199999999997</v>
      </c>
      <c r="J41" s="50">
        <f t="shared" si="6"/>
        <v>62.357681159420295</v>
      </c>
      <c r="K41" s="50">
        <f>F41-2962.16</f>
        <v>1340.5200000000004</v>
      </c>
      <c r="L41" s="50">
        <f>F41/2962.16*100</f>
        <v>145.2548140546088</v>
      </c>
      <c r="M41" s="35">
        <f>E41-травень!E41</f>
        <v>550</v>
      </c>
      <c r="N41" s="35">
        <f>F41-травень!F41</f>
        <v>899.5400000000004</v>
      </c>
      <c r="O41" s="47">
        <f t="shared" si="3"/>
        <v>349.5400000000004</v>
      </c>
      <c r="P41" s="50">
        <f>N41/M41*100</f>
        <v>163.55272727272734</v>
      </c>
      <c r="Q41" s="50">
        <f>N41-647.49</f>
        <v>252.0500000000004</v>
      </c>
      <c r="R41" s="126">
        <f>N41/647.49</f>
        <v>1.3892724211956948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143">
        <v>3454.35</v>
      </c>
      <c r="G42" s="43">
        <f t="shared" si="0"/>
        <v>3004.35</v>
      </c>
      <c r="H42" s="35">
        <f>F42/E42*100</f>
        <v>767.6333333333333</v>
      </c>
      <c r="I42" s="50">
        <f t="shared" si="1"/>
        <v>2354.35</v>
      </c>
      <c r="J42" s="50">
        <f t="shared" si="6"/>
        <v>314.03181818181815</v>
      </c>
      <c r="K42" s="50">
        <f>F42-350.98</f>
        <v>3103.37</v>
      </c>
      <c r="L42" s="50">
        <f>F42/350.98*100</f>
        <v>984.2013789959541</v>
      </c>
      <c r="M42" s="35">
        <f>E42-травень!E42</f>
        <v>70</v>
      </c>
      <c r="N42" s="35">
        <f>F42-травень!F42</f>
        <v>85.75</v>
      </c>
      <c r="O42" s="47">
        <f t="shared" si="3"/>
        <v>15.75</v>
      </c>
      <c r="P42" s="50">
        <f>N42/M42*100</f>
        <v>122.50000000000001</v>
      </c>
      <c r="Q42" s="50">
        <f>N42-79.51</f>
        <v>6.239999999999995</v>
      </c>
      <c r="R42" s="126">
        <f>N42/79.51</f>
        <v>1.0784806942522953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144">
        <v>404.56</v>
      </c>
      <c r="G43" s="135">
        <f t="shared" si="0"/>
        <v>14.560000000000002</v>
      </c>
      <c r="H43" s="137">
        <f>F43/E43*100</f>
        <v>103.73333333333335</v>
      </c>
      <c r="I43" s="136">
        <f t="shared" si="1"/>
        <v>-565.44</v>
      </c>
      <c r="J43" s="136">
        <f t="shared" si="6"/>
        <v>41.70721649484536</v>
      </c>
      <c r="K43" s="136">
        <f>F43-304.83</f>
        <v>99.73000000000002</v>
      </c>
      <c r="L43" s="136">
        <f>F43/304.83*100</f>
        <v>132.716596135551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0"/>
        <v>44.74</v>
      </c>
      <c r="H44" s="137"/>
      <c r="I44" s="136">
        <f t="shared" si="1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0"/>
        <v>0.73</v>
      </c>
      <c r="H45" s="137"/>
      <c r="I45" s="136">
        <f t="shared" si="1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144">
        <v>3004.32</v>
      </c>
      <c r="G46" s="135">
        <f t="shared" si="0"/>
        <v>2924.32</v>
      </c>
      <c r="H46" s="137">
        <f>F46/E46*100</f>
        <v>3755.4</v>
      </c>
      <c r="I46" s="136">
        <f t="shared" si="1"/>
        <v>2874.32</v>
      </c>
      <c r="J46" s="136">
        <f t="shared" si="6"/>
        <v>2311.0153846153844</v>
      </c>
      <c r="K46" s="136">
        <f>F46-46.16</f>
        <v>2958.1600000000003</v>
      </c>
      <c r="L46" s="136">
        <f>F46/46.16*100</f>
        <v>6508.492201039863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</f>
        <v>0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143">
        <v>1871.83</v>
      </c>
      <c r="G48" s="43">
        <f t="shared" si="0"/>
        <v>-108.17000000000007</v>
      </c>
      <c r="H48" s="35">
        <f>F48/E48*100</f>
        <v>94.53686868686869</v>
      </c>
      <c r="I48" s="50">
        <f t="shared" si="1"/>
        <v>-2328.17</v>
      </c>
      <c r="J48" s="50">
        <f>F48/D48*100</f>
        <v>44.56738095238095</v>
      </c>
      <c r="K48" s="50">
        <f>F48-1649.93</f>
        <v>221.89999999999986</v>
      </c>
      <c r="L48" s="50">
        <f>F48/1649.93*100</f>
        <v>113.44905541447213</v>
      </c>
      <c r="M48" s="35">
        <f>E48-травень!E48</f>
        <v>310</v>
      </c>
      <c r="N48" s="35">
        <f>F48-травень!F48</f>
        <v>43.960000000000036</v>
      </c>
      <c r="O48" s="47">
        <f t="shared" si="3"/>
        <v>-266.03999999999996</v>
      </c>
      <c r="P48" s="50">
        <f aca="true" t="shared" si="7" ref="P48:P53">N48/M48*100</f>
        <v>14.180645161290334</v>
      </c>
      <c r="Q48" s="50">
        <f>N48-277.38</f>
        <v>-233.41999999999996</v>
      </c>
      <c r="R48" s="126">
        <f>N48/277.38</f>
        <v>0.15848294758093603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445.5</v>
      </c>
      <c r="G51" s="135">
        <f t="shared" si="0"/>
        <v>445.5</v>
      </c>
      <c r="H51" s="137"/>
      <c r="I51" s="136">
        <f t="shared" si="1"/>
        <v>445.5</v>
      </c>
      <c r="J51" s="136"/>
      <c r="K51" s="136">
        <f>F51-290</f>
        <v>155.5</v>
      </c>
      <c r="L51" s="138">
        <f>F51/290*100</f>
        <v>153.6206896551724</v>
      </c>
      <c r="M51" s="137">
        <f>E51-травень!E51</f>
        <v>0</v>
      </c>
      <c r="N51" s="137">
        <f>F51-травень!F51</f>
        <v>12.600000000000023</v>
      </c>
      <c r="O51" s="138">
        <f t="shared" si="3"/>
        <v>12.600000000000023</v>
      </c>
      <c r="P51" s="136"/>
      <c r="Q51" s="50">
        <f>N51-64.93</f>
        <v>-52.329999999999984</v>
      </c>
      <c r="R51" s="126">
        <f>N51/64.93</f>
        <v>0.1940551363006318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1"/>
        <v>-13</v>
      </c>
      <c r="J52" s="50"/>
      <c r="K52" s="50">
        <f>F52-13.28</f>
        <v>-13.28</v>
      </c>
      <c r="L52" s="50">
        <f>F52/13.28*100</f>
        <v>0</v>
      </c>
      <c r="M52" s="35">
        <f>E52-травень!E52</f>
        <v>0</v>
      </c>
      <c r="N52" s="35">
        <f>F52-травень!F52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143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F54-0.04</f>
        <v>-0.02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270640.19999999995</v>
      </c>
      <c r="F55" s="18">
        <f>F8+F33+F53+F54</f>
        <v>271081.25</v>
      </c>
      <c r="G55" s="44">
        <f>F55-E55</f>
        <v>441.05000000004657</v>
      </c>
      <c r="H55" s="45">
        <f>F55/E55*100</f>
        <v>100.16296544267999</v>
      </c>
      <c r="I55" s="31">
        <f>F55-D55</f>
        <v>-258941.34999999998</v>
      </c>
      <c r="J55" s="31">
        <f>F55/D55*100</f>
        <v>51.14522475079365</v>
      </c>
      <c r="K55" s="31">
        <f>K8+K33+K53+K54</f>
        <v>70070.33000000002</v>
      </c>
      <c r="L55" s="31">
        <f>(K55/(F55+K55))*100</f>
        <v>20.539353796925113</v>
      </c>
      <c r="M55" s="18">
        <f>M8+M33+M53+M54</f>
        <v>41940.89999999999</v>
      </c>
      <c r="N55" s="18">
        <f>N8+N33+N53+N54</f>
        <v>5347.08</v>
      </c>
      <c r="O55" s="49">
        <f>N55-M55</f>
        <v>-36593.819999999985</v>
      </c>
      <c r="P55" s="31">
        <f>N55/M55*100</f>
        <v>12.74908263771164</v>
      </c>
      <c r="Q55" s="31">
        <f>N55-34768</f>
        <v>-29420.92</v>
      </c>
      <c r="R55" s="171">
        <f>N55/34768</f>
        <v>0.15379314312011044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-27.69</v>
      </c>
      <c r="G61" s="43">
        <f aca="true" t="shared" si="8" ref="G61:G68">F61-E61</f>
        <v>-27.69</v>
      </c>
      <c r="H61" s="35"/>
      <c r="I61" s="53">
        <f aca="true" t="shared" si="9" ref="I61:I68">F61-D61</f>
        <v>-27.69</v>
      </c>
      <c r="J61" s="53"/>
      <c r="K61" s="47">
        <f>F61-119.54</f>
        <v>-147.23000000000002</v>
      </c>
      <c r="L61" s="53"/>
      <c r="M61" s="35">
        <v>0</v>
      </c>
      <c r="N61" s="36">
        <f>F61-травень!F61</f>
        <v>-8.3</v>
      </c>
      <c r="O61" s="47">
        <f aca="true" t="shared" si="10" ref="O61:O68">N61-M61</f>
        <v>-8.3</v>
      </c>
      <c r="P61" s="53"/>
      <c r="Q61" s="53">
        <f>N61-24.53</f>
        <v>-32.83</v>
      </c>
      <c r="R61" s="129">
        <f>N61/24.53</f>
        <v>-0.3383611903791276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-27.69</v>
      </c>
      <c r="G62" s="55">
        <f t="shared" si="8"/>
        <v>-27.69</v>
      </c>
      <c r="H62" s="65"/>
      <c r="I62" s="54">
        <f t="shared" si="9"/>
        <v>-27.69</v>
      </c>
      <c r="J62" s="54"/>
      <c r="K62" s="54">
        <f>K60+K61</f>
        <v>-146.13000000000002</v>
      </c>
      <c r="L62" s="54"/>
      <c r="M62" s="55">
        <f>M61</f>
        <v>0</v>
      </c>
      <c r="N62" s="33">
        <f>SUM(N60:N61)</f>
        <v>-8.3</v>
      </c>
      <c r="O62" s="54">
        <f t="shared" si="10"/>
        <v>-8.3</v>
      </c>
      <c r="P62" s="54"/>
      <c r="Q62" s="54">
        <f>N62-92.85</f>
        <v>-101.14999999999999</v>
      </c>
      <c r="R62" s="130">
        <f>N62/92.85</f>
        <v>-0.0893914916532041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193.97</v>
      </c>
      <c r="G64" s="43">
        <f t="shared" si="8"/>
        <v>-206.03</v>
      </c>
      <c r="H64" s="35"/>
      <c r="I64" s="53">
        <f t="shared" si="9"/>
        <v>-2306.03</v>
      </c>
      <c r="J64" s="53">
        <f t="shared" si="11"/>
        <v>7.758800000000001</v>
      </c>
      <c r="K64" s="53">
        <f>F64-1611.93</f>
        <v>-1417.96</v>
      </c>
      <c r="L64" s="53">
        <f>F64/1611.93*100</f>
        <v>12.033400954135725</v>
      </c>
      <c r="M64" s="35">
        <f>E64-травень!E64</f>
        <v>0</v>
      </c>
      <c r="N64" s="35">
        <f>F64-травень!F64</f>
        <v>0.009999999999990905</v>
      </c>
      <c r="O64" s="47">
        <f t="shared" si="10"/>
        <v>0.009999999999990905</v>
      </c>
      <c r="P64" s="53"/>
      <c r="Q64" s="53">
        <f>N64-0.04</f>
        <v>-0.030000000000009096</v>
      </c>
      <c r="R64" s="129">
        <f>N64/0.04</f>
        <v>0.24999999999977263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146">
        <v>2467.51</v>
      </c>
      <c r="G65" s="43">
        <f t="shared" si="8"/>
        <v>-32.1899999999996</v>
      </c>
      <c r="H65" s="35">
        <f>F65/E65*100</f>
        <v>98.71224546945635</v>
      </c>
      <c r="I65" s="53">
        <f t="shared" si="9"/>
        <v>-9108.49</v>
      </c>
      <c r="J65" s="53">
        <f t="shared" si="11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E65-травень!E65</f>
        <v>436.03999999999996</v>
      </c>
      <c r="N65" s="35">
        <f>F65-травень!F65</f>
        <v>0</v>
      </c>
      <c r="O65" s="47">
        <f t="shared" si="10"/>
        <v>-436.03999999999996</v>
      </c>
      <c r="P65" s="53">
        <f>N65/M65*100</f>
        <v>0</v>
      </c>
      <c r="Q65" s="53">
        <f>N65-450.01</f>
        <v>-450.01</v>
      </c>
      <c r="R65" s="129">
        <f>N65/450.01</f>
        <v>0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146">
        <v>1668.2</v>
      </c>
      <c r="G66" s="43">
        <f t="shared" si="8"/>
        <v>927.7</v>
      </c>
      <c r="H66" s="35">
        <f>F66/E66*100</f>
        <v>225.28021607022285</v>
      </c>
      <c r="I66" s="53">
        <f t="shared" si="9"/>
        <v>-1331.8</v>
      </c>
      <c r="J66" s="53">
        <f t="shared" si="11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E66-травень!E66</f>
        <v>148.10000000000002</v>
      </c>
      <c r="N66" s="35">
        <f>F66-травень!F66</f>
        <v>0</v>
      </c>
      <c r="O66" s="47">
        <f t="shared" si="10"/>
        <v>-148.10000000000002</v>
      </c>
      <c r="P66" s="53">
        <f>N66/M66*100</f>
        <v>0</v>
      </c>
      <c r="Q66" s="53">
        <f>N66-1.05</f>
        <v>-1.05</v>
      </c>
      <c r="R66" s="129">
        <f>N66/1.05</f>
        <v>0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145">
        <f>F64+F65+F66</f>
        <v>4329.68</v>
      </c>
      <c r="G67" s="55">
        <f t="shared" si="8"/>
        <v>689.4800000000005</v>
      </c>
      <c r="H67" s="65">
        <f>F67/E67*100</f>
        <v>118.94071754299216</v>
      </c>
      <c r="I67" s="54">
        <f t="shared" si="9"/>
        <v>-12746.32</v>
      </c>
      <c r="J67" s="54">
        <f t="shared" si="11"/>
        <v>25.355352541578824</v>
      </c>
      <c r="K67" s="54">
        <f>K64+K65+K66</f>
        <v>-53.789999999999736</v>
      </c>
      <c r="L67" s="54"/>
      <c r="M67" s="55">
        <f>M64+M65+M66</f>
        <v>584.14</v>
      </c>
      <c r="N67" s="55">
        <f>N64+N65+N66</f>
        <v>0.009999999999990905</v>
      </c>
      <c r="O67" s="54">
        <f t="shared" si="10"/>
        <v>-584.13</v>
      </c>
      <c r="P67" s="54">
        <f>N67/M67*100</f>
        <v>0.0017119183757302882</v>
      </c>
      <c r="Q67" s="54">
        <f>N67-7985.28</f>
        <v>-7985.2699999999995</v>
      </c>
      <c r="R67" s="173">
        <f>N67/7985.28</f>
        <v>1.2523042398000953E-06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F68-10.71</f>
        <v>-10.71</v>
      </c>
      <c r="L68" s="53">
        <f>F68/10.71*100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E70-травень!E70</f>
        <v>0</v>
      </c>
      <c r="N70" s="35">
        <f>F70-травень!F70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145">
        <f>F68+F70+F69</f>
        <v>0.95</v>
      </c>
      <c r="G71" s="55">
        <f>F71-E71</f>
        <v>-23.05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3</v>
      </c>
      <c r="N71" s="55">
        <f>N68+N70+N69</f>
        <v>0</v>
      </c>
      <c r="O71" s="54">
        <f>N71-M71</f>
        <v>-3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146">
        <v>14.05</v>
      </c>
      <c r="G72" s="43">
        <f>F72-E72</f>
        <v>-7.739999999999998</v>
      </c>
      <c r="H72" s="35">
        <f>F72/E72*100</f>
        <v>64.47911886186326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E72-травень!E72</f>
        <v>8</v>
      </c>
      <c r="N72" s="35">
        <f>F72-травень!F72</f>
        <v>0</v>
      </c>
      <c r="O72" s="47">
        <f>N72-M72</f>
        <v>-8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7">
        <f>F62+F72+F67+F71+F73</f>
        <v>4317.19</v>
      </c>
      <c r="G74" s="44">
        <f>F74-E74</f>
        <v>631.1999999999998</v>
      </c>
      <c r="H74" s="45">
        <f>F74/E74*100</f>
        <v>117.12430039148234</v>
      </c>
      <c r="I74" s="31">
        <f>F74-D74</f>
        <v>-12854.810000000001</v>
      </c>
      <c r="J74" s="31">
        <f>F74/D74*100</f>
        <v>25.14086885627766</v>
      </c>
      <c r="K74" s="31">
        <f>K62+K67+K71+K72</f>
        <v>-226.57999999999976</v>
      </c>
      <c r="L74" s="31"/>
      <c r="M74" s="27">
        <f>M62+M72+M67+M71</f>
        <v>595.14</v>
      </c>
      <c r="N74" s="27">
        <f>N62+N72+N67+N71+N73</f>
        <v>-8.29000000000001</v>
      </c>
      <c r="O74" s="31">
        <f>N74-M74</f>
        <v>-603.43</v>
      </c>
      <c r="P74" s="31">
        <f>N74/M74*100</f>
        <v>-1.3929495580871745</v>
      </c>
      <c r="Q74" s="31">
        <f>N74-8104.96</f>
        <v>-8113.25</v>
      </c>
      <c r="R74" s="127">
        <f>N74/8104.96</f>
        <v>-0.0010228304643082767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274326.18999999994</v>
      </c>
      <c r="F75" s="27">
        <f>F55+F74</f>
        <v>275398.44</v>
      </c>
      <c r="G75" s="44">
        <f>F75-E75</f>
        <v>1072.2500000000582</v>
      </c>
      <c r="H75" s="45">
        <f>F75/E75*100</f>
        <v>100.39086679984877</v>
      </c>
      <c r="I75" s="31">
        <f>F75-D75</f>
        <v>-271796.16</v>
      </c>
      <c r="J75" s="31">
        <f>F75/D75*100</f>
        <v>50.3291589500335</v>
      </c>
      <c r="K75" s="31">
        <f>K55+K74</f>
        <v>69843.75000000001</v>
      </c>
      <c r="L75" s="31"/>
      <c r="M75" s="18">
        <f>M55+M74</f>
        <v>42536.039999999986</v>
      </c>
      <c r="N75" s="18">
        <f>N55+N74</f>
        <v>5338.79</v>
      </c>
      <c r="O75" s="31">
        <f>N75-M75</f>
        <v>-37197.249999999985</v>
      </c>
      <c r="P75" s="31">
        <f>N75/M75*100</f>
        <v>12.551215392876255</v>
      </c>
      <c r="Q75" s="31">
        <f>N75-42872.96</f>
        <v>-37534.17</v>
      </c>
      <c r="R75" s="127">
        <f>N75/42872.96</f>
        <v>0.12452580834166804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17</v>
      </c>
      <c r="D77" s="4" t="s">
        <v>118</v>
      </c>
    </row>
    <row r="78" spans="2:17" ht="31.5">
      <c r="B78" s="71" t="s">
        <v>154</v>
      </c>
      <c r="C78" s="34">
        <f>IF(O55&lt;0,ABS(O55/C77),0)</f>
        <v>2152.5776470588225</v>
      </c>
      <c r="D78" s="4" t="s">
        <v>104</v>
      </c>
      <c r="G78" s="231"/>
      <c r="H78" s="231"/>
      <c r="I78" s="231"/>
      <c r="J78" s="23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42159</v>
      </c>
      <c r="D79" s="34">
        <v>2682.3</v>
      </c>
      <c r="N79" s="232"/>
      <c r="O79" s="232"/>
    </row>
    <row r="80" spans="3:15" ht="15.75">
      <c r="C80" s="111">
        <v>42158</v>
      </c>
      <c r="D80" s="34">
        <v>1984.5</v>
      </c>
      <c r="F80" s="155" t="s">
        <v>166</v>
      </c>
      <c r="G80" s="233"/>
      <c r="H80" s="233"/>
      <c r="I80" s="177"/>
      <c r="J80" s="234"/>
      <c r="K80" s="234"/>
      <c r="L80" s="234"/>
      <c r="M80" s="234"/>
      <c r="N80" s="232"/>
      <c r="O80" s="232"/>
    </row>
    <row r="81" spans="3:15" ht="15.75" customHeight="1">
      <c r="C81" s="111">
        <v>42157</v>
      </c>
      <c r="D81" s="34">
        <v>680.3</v>
      </c>
      <c r="G81" s="238" t="s">
        <v>151</v>
      </c>
      <c r="H81" s="238"/>
      <c r="I81" s="106">
        <v>8909.73221</v>
      </c>
      <c r="J81" s="239"/>
      <c r="K81" s="239"/>
      <c r="L81" s="239"/>
      <c r="M81" s="239"/>
      <c r="N81" s="232"/>
      <c r="O81" s="232"/>
    </row>
    <row r="82" spans="7:13" ht="15.75" customHeight="1">
      <c r="G82" s="240" t="s">
        <v>234</v>
      </c>
      <c r="H82" s="241"/>
      <c r="I82" s="103">
        <v>0</v>
      </c>
      <c r="J82" s="234"/>
      <c r="K82" s="234"/>
      <c r="L82" s="234"/>
      <c r="M82" s="234"/>
    </row>
    <row r="83" spans="2:13" ht="18.75" customHeight="1">
      <c r="B83" s="242" t="s">
        <v>160</v>
      </c>
      <c r="C83" s="243"/>
      <c r="D83" s="108">
        <v>155774.96480000002</v>
      </c>
      <c r="E83" s="73"/>
      <c r="F83" s="156" t="s">
        <v>147</v>
      </c>
      <c r="G83" s="238" t="s">
        <v>149</v>
      </c>
      <c r="H83" s="238"/>
      <c r="I83" s="107">
        <v>146865.23259</v>
      </c>
      <c r="J83" s="234"/>
      <c r="K83" s="234"/>
      <c r="L83" s="234"/>
      <c r="M83" s="234"/>
    </row>
    <row r="84" spans="7:12" ht="9.75" customHeight="1">
      <c r="G84" s="233"/>
      <c r="H84" s="233"/>
      <c r="I84" s="90"/>
      <c r="J84" s="91"/>
      <c r="K84" s="91"/>
      <c r="L84" s="91"/>
    </row>
    <row r="85" spans="2:12" ht="22.5" customHeight="1" hidden="1">
      <c r="B85" s="244" t="s">
        <v>167</v>
      </c>
      <c r="C85" s="245"/>
      <c r="D85" s="110">
        <v>0</v>
      </c>
      <c r="E85" s="70" t="s">
        <v>104</v>
      </c>
      <c r="G85" s="233"/>
      <c r="H85" s="233"/>
      <c r="I85" s="90"/>
      <c r="J85" s="91"/>
      <c r="K85" s="91"/>
      <c r="L85" s="91"/>
    </row>
    <row r="86" spans="4:15" ht="15.75">
      <c r="D86" s="105"/>
      <c r="N86" s="233"/>
      <c r="O86" s="233"/>
    </row>
    <row r="87" spans="4:15" ht="15.75">
      <c r="D87" s="104"/>
      <c r="I87" s="34"/>
      <c r="N87" s="246"/>
      <c r="O87" s="246"/>
    </row>
    <row r="88" spans="14:15" ht="15.75">
      <c r="N88" s="233"/>
      <c r="O88" s="23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2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21" sqref="G2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274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266</v>
      </c>
      <c r="N3" s="218" t="s">
        <v>267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262</v>
      </c>
      <c r="F4" s="223" t="s">
        <v>116</v>
      </c>
      <c r="G4" s="225" t="s">
        <v>263</v>
      </c>
      <c r="H4" s="227" t="s">
        <v>264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273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265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432.9</v>
      </c>
      <c r="G51" s="135">
        <f t="shared" si="7"/>
        <v>432.9</v>
      </c>
      <c r="H51" s="137"/>
      <c r="I51" s="136">
        <f t="shared" si="8"/>
        <v>432.9</v>
      </c>
      <c r="J51" s="136"/>
      <c r="K51" s="136">
        <f>F51-290</f>
        <v>142.89999999999998</v>
      </c>
      <c r="L51" s="138">
        <f>F51/290*100</f>
        <v>149.2758620689655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(K55/(F55+K55))*100</f>
        <v>19.58595754938715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/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31"/>
      <c r="H78" s="231"/>
      <c r="I78" s="231"/>
      <c r="J78" s="23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2"/>
      <c r="O79" s="232"/>
    </row>
    <row r="80" spans="3:15" ht="15.75">
      <c r="C80" s="111">
        <v>42152</v>
      </c>
      <c r="D80" s="34">
        <v>5845.4</v>
      </c>
      <c r="F80" s="155" t="s">
        <v>166</v>
      </c>
      <c r="G80" s="233"/>
      <c r="H80" s="233"/>
      <c r="I80" s="177"/>
      <c r="J80" s="234"/>
      <c r="K80" s="234"/>
      <c r="L80" s="234"/>
      <c r="M80" s="234"/>
      <c r="N80" s="232"/>
      <c r="O80" s="232"/>
    </row>
    <row r="81" spans="3:15" ht="15.75" customHeight="1">
      <c r="C81" s="111">
        <v>42151</v>
      </c>
      <c r="D81" s="34">
        <v>3158.7</v>
      </c>
      <c r="G81" s="238" t="s">
        <v>151</v>
      </c>
      <c r="H81" s="238"/>
      <c r="I81" s="106">
        <v>8909.73221</v>
      </c>
      <c r="J81" s="239"/>
      <c r="K81" s="239"/>
      <c r="L81" s="239"/>
      <c r="M81" s="239"/>
      <c r="N81" s="232"/>
      <c r="O81" s="232"/>
    </row>
    <row r="82" spans="7:13" ht="15.75" customHeight="1">
      <c r="G82" s="240" t="s">
        <v>234</v>
      </c>
      <c r="H82" s="241"/>
      <c r="I82" s="103">
        <v>0</v>
      </c>
      <c r="J82" s="234"/>
      <c r="K82" s="234"/>
      <c r="L82" s="234"/>
      <c r="M82" s="234"/>
    </row>
    <row r="83" spans="2:13" ht="18.75" customHeight="1">
      <c r="B83" s="242" t="s">
        <v>160</v>
      </c>
      <c r="C83" s="243"/>
      <c r="D83" s="108">
        <v>153606.78</v>
      </c>
      <c r="E83" s="73"/>
      <c r="F83" s="156" t="s">
        <v>147</v>
      </c>
      <c r="G83" s="238" t="s">
        <v>149</v>
      </c>
      <c r="H83" s="238"/>
      <c r="I83" s="107">
        <v>144697.05</v>
      </c>
      <c r="J83" s="234"/>
      <c r="K83" s="234"/>
      <c r="L83" s="234"/>
      <c r="M83" s="234"/>
    </row>
    <row r="84" spans="7:12" ht="9.75" customHeight="1">
      <c r="G84" s="233"/>
      <c r="H84" s="233"/>
      <c r="I84" s="90"/>
      <c r="J84" s="91"/>
      <c r="K84" s="91"/>
      <c r="L84" s="91"/>
    </row>
    <row r="85" spans="2:12" ht="22.5" customHeight="1" hidden="1">
      <c r="B85" s="244" t="s">
        <v>167</v>
      </c>
      <c r="C85" s="245"/>
      <c r="D85" s="110">
        <v>0</v>
      </c>
      <c r="E85" s="70" t="s">
        <v>104</v>
      </c>
      <c r="G85" s="233"/>
      <c r="H85" s="233"/>
      <c r="I85" s="90"/>
      <c r="J85" s="91"/>
      <c r="K85" s="91"/>
      <c r="L85" s="91"/>
    </row>
    <row r="86" spans="4:15" ht="15.75">
      <c r="D86" s="105"/>
      <c r="N86" s="233"/>
      <c r="O86" s="233"/>
    </row>
    <row r="87" spans="4:15" ht="15.75">
      <c r="D87" s="104"/>
      <c r="I87" s="34"/>
      <c r="N87" s="246"/>
      <c r="O87" s="246"/>
    </row>
    <row r="88" spans="14:15" ht="15.75">
      <c r="N88" s="233"/>
      <c r="O88" s="23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7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89" sqref="H8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259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240</v>
      </c>
      <c r="N3" s="218" t="s">
        <v>241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237</v>
      </c>
      <c r="F4" s="247" t="s">
        <v>116</v>
      </c>
      <c r="G4" s="225" t="s">
        <v>238</v>
      </c>
      <c r="H4" s="227" t="s">
        <v>239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260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48"/>
      <c r="G5" s="226"/>
      <c r="H5" s="228"/>
      <c r="I5" s="230"/>
      <c r="J5" s="217"/>
      <c r="K5" s="221" t="s">
        <v>242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315.7</v>
      </c>
      <c r="G75" s="135">
        <f t="shared" si="12"/>
        <v>315.7</v>
      </c>
      <c r="H75" s="137"/>
      <c r="I75" s="136">
        <f t="shared" si="13"/>
        <v>315.7</v>
      </c>
      <c r="J75" s="136"/>
      <c r="K75" s="136">
        <f>F75-234.45</f>
        <v>81.25</v>
      </c>
      <c r="L75" s="138">
        <f>F75/234.45*100</f>
        <v>134.6555768820644</v>
      </c>
      <c r="M75" s="35">
        <f>E75-березень!E78</f>
        <v>0</v>
      </c>
      <c r="N75" s="35">
        <f>F75-березень!F78</f>
        <v>76.1</v>
      </c>
      <c r="O75" s="138">
        <f t="shared" si="15"/>
        <v>76.1</v>
      </c>
      <c r="P75" s="136"/>
      <c r="Q75" s="50">
        <f>N75-64.93</f>
        <v>11.169999999999987</v>
      </c>
      <c r="R75" s="126">
        <f>N75/64.93</f>
        <v>1.1720314184506389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31"/>
      <c r="H103" s="231"/>
      <c r="I103" s="231"/>
      <c r="J103" s="231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2"/>
      <c r="O104" s="232"/>
    </row>
    <row r="105" spans="3:15" ht="15.75">
      <c r="C105" s="111">
        <v>42123</v>
      </c>
      <c r="D105" s="34">
        <v>7959.6</v>
      </c>
      <c r="F105" s="201" t="s">
        <v>166</v>
      </c>
      <c r="G105" s="233"/>
      <c r="H105" s="233"/>
      <c r="I105" s="177"/>
      <c r="J105" s="234"/>
      <c r="K105" s="234"/>
      <c r="L105" s="234"/>
      <c r="M105" s="234"/>
      <c r="N105" s="232"/>
      <c r="O105" s="232"/>
    </row>
    <row r="106" spans="3:15" ht="15.75" customHeight="1">
      <c r="C106" s="111">
        <v>42122</v>
      </c>
      <c r="D106" s="34">
        <v>4962.7</v>
      </c>
      <c r="G106" s="238" t="s">
        <v>151</v>
      </c>
      <c r="H106" s="238"/>
      <c r="I106" s="106">
        <v>8909.73221</v>
      </c>
      <c r="J106" s="239"/>
      <c r="K106" s="239"/>
      <c r="L106" s="239"/>
      <c r="M106" s="239"/>
      <c r="N106" s="232"/>
      <c r="O106" s="232"/>
    </row>
    <row r="107" spans="7:13" ht="15.75" customHeight="1">
      <c r="G107" s="240" t="s">
        <v>234</v>
      </c>
      <c r="H107" s="241"/>
      <c r="I107" s="103">
        <v>0</v>
      </c>
      <c r="J107" s="234"/>
      <c r="K107" s="234"/>
      <c r="L107" s="234"/>
      <c r="M107" s="234"/>
    </row>
    <row r="108" spans="2:13" ht="18.75" customHeight="1">
      <c r="B108" s="242" t="s">
        <v>160</v>
      </c>
      <c r="C108" s="243"/>
      <c r="D108" s="108">
        <v>154856.06924</v>
      </c>
      <c r="E108" s="73"/>
      <c r="F108" s="202" t="s">
        <v>147</v>
      </c>
      <c r="G108" s="238" t="s">
        <v>149</v>
      </c>
      <c r="H108" s="238"/>
      <c r="I108" s="107">
        <v>145946.33703</v>
      </c>
      <c r="J108" s="234"/>
      <c r="K108" s="234"/>
      <c r="L108" s="234"/>
      <c r="M108" s="234"/>
    </row>
    <row r="109" spans="7:12" ht="9.75" customHeight="1">
      <c r="G109" s="233"/>
      <c r="H109" s="233"/>
      <c r="I109" s="90"/>
      <c r="J109" s="91"/>
      <c r="K109" s="91"/>
      <c r="L109" s="91"/>
    </row>
    <row r="110" spans="2:12" ht="22.5" customHeight="1" hidden="1">
      <c r="B110" s="244" t="s">
        <v>167</v>
      </c>
      <c r="C110" s="245"/>
      <c r="D110" s="110">
        <v>0</v>
      </c>
      <c r="E110" s="70" t="s">
        <v>104</v>
      </c>
      <c r="G110" s="233"/>
      <c r="H110" s="233"/>
      <c r="I110" s="90"/>
      <c r="J110" s="91"/>
      <c r="K110" s="91"/>
      <c r="L110" s="91"/>
    </row>
    <row r="111" spans="4:15" ht="15.75">
      <c r="D111" s="105"/>
      <c r="N111" s="233"/>
      <c r="O111" s="233"/>
    </row>
    <row r="112" spans="4:15" ht="15.75">
      <c r="D112" s="104"/>
      <c r="I112" s="34"/>
      <c r="N112" s="246"/>
      <c r="O112" s="246"/>
    </row>
    <row r="113" spans="14:15" ht="15.75">
      <c r="N113" s="233"/>
      <c r="O113" s="233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235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231</v>
      </c>
      <c r="N3" s="218" t="s">
        <v>232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228</v>
      </c>
      <c r="F4" s="223" t="s">
        <v>116</v>
      </c>
      <c r="G4" s="225" t="s">
        <v>229</v>
      </c>
      <c r="H4" s="227" t="s">
        <v>230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236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233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31"/>
      <c r="H104" s="231"/>
      <c r="I104" s="231"/>
      <c r="J104" s="23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2"/>
      <c r="O105" s="232"/>
    </row>
    <row r="106" spans="3:15" ht="15.75">
      <c r="C106" s="111">
        <v>42093</v>
      </c>
      <c r="D106" s="34">
        <v>8025</v>
      </c>
      <c r="F106" s="155" t="s">
        <v>166</v>
      </c>
      <c r="G106" s="233"/>
      <c r="H106" s="233"/>
      <c r="I106" s="177"/>
      <c r="J106" s="234"/>
      <c r="K106" s="234"/>
      <c r="L106" s="234"/>
      <c r="M106" s="234"/>
      <c r="N106" s="232"/>
      <c r="O106" s="232"/>
    </row>
    <row r="107" spans="3:15" ht="15.75" customHeight="1">
      <c r="C107" s="111">
        <v>42090</v>
      </c>
      <c r="D107" s="34">
        <v>4282.6</v>
      </c>
      <c r="G107" s="238" t="s">
        <v>151</v>
      </c>
      <c r="H107" s="238"/>
      <c r="I107" s="106">
        <f>8909732.21/1000</f>
        <v>8909.73221</v>
      </c>
      <c r="J107" s="239"/>
      <c r="K107" s="239"/>
      <c r="L107" s="239"/>
      <c r="M107" s="239"/>
      <c r="N107" s="232"/>
      <c r="O107" s="232"/>
    </row>
    <row r="108" spans="7:13" ht="15.75" customHeight="1">
      <c r="G108" s="240" t="s">
        <v>234</v>
      </c>
      <c r="H108" s="241"/>
      <c r="I108" s="103">
        <v>0</v>
      </c>
      <c r="J108" s="234"/>
      <c r="K108" s="234"/>
      <c r="L108" s="234"/>
      <c r="M108" s="234"/>
    </row>
    <row r="109" spans="2:13" ht="18.75" customHeight="1">
      <c r="B109" s="242" t="s">
        <v>160</v>
      </c>
      <c r="C109" s="243"/>
      <c r="D109" s="108">
        <f>147433239.77/1000</f>
        <v>147433.23977000001</v>
      </c>
      <c r="E109" s="73"/>
      <c r="F109" s="156" t="s">
        <v>147</v>
      </c>
      <c r="G109" s="238" t="s">
        <v>149</v>
      </c>
      <c r="H109" s="238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33"/>
      <c r="H110" s="233"/>
      <c r="I110" s="90"/>
      <c r="J110" s="91"/>
      <c r="K110" s="91"/>
      <c r="L110" s="91"/>
    </row>
    <row r="111" spans="2:12" ht="22.5" customHeight="1" hidden="1">
      <c r="B111" s="244" t="s">
        <v>167</v>
      </c>
      <c r="C111" s="245"/>
      <c r="D111" s="110">
        <v>0</v>
      </c>
      <c r="E111" s="70" t="s">
        <v>104</v>
      </c>
      <c r="G111" s="233"/>
      <c r="H111" s="233"/>
      <c r="I111" s="90"/>
      <c r="J111" s="91"/>
      <c r="K111" s="91"/>
      <c r="L111" s="91"/>
    </row>
    <row r="112" spans="4:15" ht="15.75">
      <c r="D112" s="105"/>
      <c r="N112" s="233"/>
      <c r="O112" s="233"/>
    </row>
    <row r="113" spans="4:15" ht="15.75">
      <c r="D113" s="104"/>
      <c r="I113" s="34"/>
      <c r="N113" s="246"/>
      <c r="O113" s="246"/>
    </row>
    <row r="114" spans="14:15" ht="15.75">
      <c r="N114" s="233"/>
      <c r="O114" s="23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227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205</v>
      </c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221</v>
      </c>
      <c r="N3" s="218" t="s">
        <v>202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199</v>
      </c>
      <c r="F4" s="223" t="s">
        <v>116</v>
      </c>
      <c r="G4" s="225" t="s">
        <v>200</v>
      </c>
      <c r="H4" s="227" t="s">
        <v>201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226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224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31"/>
      <c r="H104" s="231"/>
      <c r="I104" s="231"/>
      <c r="J104" s="23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2"/>
      <c r="O105" s="232"/>
    </row>
    <row r="106" spans="3:15" ht="15.75">
      <c r="C106" s="111">
        <v>42061</v>
      </c>
      <c r="D106" s="34">
        <v>6003.3</v>
      </c>
      <c r="F106" s="155" t="s">
        <v>166</v>
      </c>
      <c r="G106" s="233"/>
      <c r="H106" s="233"/>
      <c r="I106" s="177"/>
      <c r="J106" s="234"/>
      <c r="K106" s="234"/>
      <c r="L106" s="234"/>
      <c r="M106" s="234"/>
      <c r="N106" s="232"/>
      <c r="O106" s="232"/>
    </row>
    <row r="107" spans="3:15" ht="15.75" customHeight="1">
      <c r="C107" s="111">
        <v>42060</v>
      </c>
      <c r="D107" s="34">
        <v>1551.3</v>
      </c>
      <c r="G107" s="238" t="s">
        <v>151</v>
      </c>
      <c r="H107" s="238"/>
      <c r="I107" s="106">
        <v>8909.73221</v>
      </c>
      <c r="J107" s="239"/>
      <c r="K107" s="239"/>
      <c r="L107" s="239"/>
      <c r="M107" s="239"/>
      <c r="N107" s="232"/>
      <c r="O107" s="232"/>
    </row>
    <row r="108" spans="7:13" ht="15.75" customHeight="1">
      <c r="G108" s="249" t="s">
        <v>155</v>
      </c>
      <c r="H108" s="249"/>
      <c r="I108" s="103">
        <v>0</v>
      </c>
      <c r="J108" s="234"/>
      <c r="K108" s="234"/>
      <c r="L108" s="234"/>
      <c r="M108" s="234"/>
    </row>
    <row r="109" spans="2:13" ht="18.75" customHeight="1">
      <c r="B109" s="242" t="s">
        <v>160</v>
      </c>
      <c r="C109" s="243"/>
      <c r="D109" s="108">
        <f>138305956.27/1000</f>
        <v>138305.95627000002</v>
      </c>
      <c r="E109" s="73"/>
      <c r="F109" s="156" t="s">
        <v>147</v>
      </c>
      <c r="G109" s="238" t="s">
        <v>149</v>
      </c>
      <c r="H109" s="238"/>
      <c r="I109" s="107">
        <v>129396.23</v>
      </c>
      <c r="J109" s="234"/>
      <c r="K109" s="234"/>
      <c r="L109" s="234"/>
      <c r="M109" s="234"/>
    </row>
    <row r="110" spans="7:12" ht="9.75" customHeight="1">
      <c r="G110" s="233"/>
      <c r="H110" s="233"/>
      <c r="I110" s="90"/>
      <c r="J110" s="91"/>
      <c r="K110" s="91"/>
      <c r="L110" s="91"/>
    </row>
    <row r="111" spans="2:12" ht="22.5" customHeight="1" hidden="1">
      <c r="B111" s="244" t="s">
        <v>167</v>
      </c>
      <c r="C111" s="245"/>
      <c r="D111" s="110">
        <v>0</v>
      </c>
      <c r="E111" s="70" t="s">
        <v>104</v>
      </c>
      <c r="G111" s="233"/>
      <c r="H111" s="233"/>
      <c r="I111" s="90"/>
      <c r="J111" s="91"/>
      <c r="K111" s="91"/>
      <c r="L111" s="91"/>
    </row>
    <row r="112" spans="4:15" ht="15.75">
      <c r="D112" s="105"/>
      <c r="N112" s="233"/>
      <c r="O112" s="233"/>
    </row>
    <row r="113" spans="4:15" ht="15.75">
      <c r="D113" s="104"/>
      <c r="I113" s="34"/>
      <c r="N113" s="246"/>
      <c r="O113" s="246"/>
    </row>
    <row r="114" spans="14:15" ht="15.75">
      <c r="N114" s="233"/>
      <c r="O114" s="23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193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205</v>
      </c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220</v>
      </c>
      <c r="N3" s="218" t="s">
        <v>175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219</v>
      </c>
      <c r="F4" s="223" t="s">
        <v>116</v>
      </c>
      <c r="G4" s="225" t="s">
        <v>173</v>
      </c>
      <c r="H4" s="256" t="s">
        <v>174</v>
      </c>
      <c r="I4" s="254" t="s">
        <v>217</v>
      </c>
      <c r="J4" s="252" t="s">
        <v>218</v>
      </c>
      <c r="K4" s="116" t="s">
        <v>172</v>
      </c>
      <c r="L4" s="121" t="s">
        <v>171</v>
      </c>
      <c r="M4" s="216"/>
      <c r="N4" s="235" t="s">
        <v>194</v>
      </c>
      <c r="O4" s="254" t="s">
        <v>136</v>
      </c>
      <c r="P4" s="218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57"/>
      <c r="I5" s="255"/>
      <c r="J5" s="253"/>
      <c r="K5" s="221" t="s">
        <v>188</v>
      </c>
      <c r="L5" s="222"/>
      <c r="M5" s="217"/>
      <c r="N5" s="236"/>
      <c r="O5" s="255"/>
      <c r="P5" s="218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31"/>
      <c r="H102" s="231"/>
      <c r="I102" s="231"/>
      <c r="J102" s="231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2"/>
      <c r="O103" s="232"/>
    </row>
    <row r="104" spans="3:15" ht="15.75">
      <c r="C104" s="111">
        <v>42033</v>
      </c>
      <c r="D104" s="34">
        <v>2896.5</v>
      </c>
      <c r="F104" s="155" t="s">
        <v>166</v>
      </c>
      <c r="G104" s="238" t="s">
        <v>151</v>
      </c>
      <c r="H104" s="238"/>
      <c r="I104" s="106">
        <f>'січень '!I139</f>
        <v>8909.733</v>
      </c>
      <c r="J104" s="250" t="s">
        <v>161</v>
      </c>
      <c r="K104" s="250"/>
      <c r="L104" s="250"/>
      <c r="M104" s="250"/>
      <c r="N104" s="232"/>
      <c r="O104" s="232"/>
    </row>
    <row r="105" spans="3:15" ht="15.75">
      <c r="C105" s="111">
        <v>42032</v>
      </c>
      <c r="D105" s="34">
        <v>2838.1</v>
      </c>
      <c r="G105" s="249" t="s">
        <v>155</v>
      </c>
      <c r="H105" s="249"/>
      <c r="I105" s="103">
        <f>'січень '!I140</f>
        <v>0</v>
      </c>
      <c r="J105" s="251" t="s">
        <v>162</v>
      </c>
      <c r="K105" s="251"/>
      <c r="L105" s="251"/>
      <c r="M105" s="251"/>
      <c r="N105" s="232"/>
      <c r="O105" s="232"/>
    </row>
    <row r="106" spans="7:13" ht="15.75" customHeight="1">
      <c r="G106" s="238" t="s">
        <v>148</v>
      </c>
      <c r="H106" s="238"/>
      <c r="I106" s="103">
        <f>'січень '!I141</f>
        <v>0</v>
      </c>
      <c r="J106" s="250" t="s">
        <v>163</v>
      </c>
      <c r="K106" s="250"/>
      <c r="L106" s="250"/>
      <c r="M106" s="250"/>
    </row>
    <row r="107" spans="2:13" ht="18.75" customHeight="1">
      <c r="B107" s="242" t="s">
        <v>160</v>
      </c>
      <c r="C107" s="243"/>
      <c r="D107" s="108">
        <f>'січень '!D142</f>
        <v>132375.63</v>
      </c>
      <c r="E107" s="73"/>
      <c r="F107" s="156" t="s">
        <v>147</v>
      </c>
      <c r="G107" s="238" t="s">
        <v>149</v>
      </c>
      <c r="H107" s="238"/>
      <c r="I107" s="107">
        <f>'січень '!I142</f>
        <v>123465.893</v>
      </c>
      <c r="J107" s="250" t="s">
        <v>164</v>
      </c>
      <c r="K107" s="250"/>
      <c r="L107" s="250"/>
      <c r="M107" s="250"/>
    </row>
    <row r="108" spans="7:12" ht="9.75" customHeight="1">
      <c r="G108" s="233"/>
      <c r="H108" s="233"/>
      <c r="I108" s="90"/>
      <c r="J108" s="91"/>
      <c r="K108" s="91"/>
      <c r="L108" s="91"/>
    </row>
    <row r="109" spans="2:12" ht="22.5" customHeight="1" hidden="1">
      <c r="B109" s="244" t="s">
        <v>167</v>
      </c>
      <c r="C109" s="245"/>
      <c r="D109" s="110">
        <v>0</v>
      </c>
      <c r="E109" s="70" t="s">
        <v>104</v>
      </c>
      <c r="G109" s="233"/>
      <c r="H109" s="233"/>
      <c r="I109" s="90"/>
      <c r="J109" s="91"/>
      <c r="K109" s="91"/>
      <c r="L109" s="91"/>
    </row>
    <row r="110" spans="4:15" ht="15.75">
      <c r="D110" s="105"/>
      <c r="N110" s="233"/>
      <c r="O110" s="233"/>
    </row>
    <row r="111" spans="4:15" ht="15.75">
      <c r="D111" s="104"/>
      <c r="I111" s="34"/>
      <c r="N111" s="246"/>
      <c r="O111" s="246"/>
    </row>
    <row r="112" spans="14:15" ht="15.75">
      <c r="N112" s="233"/>
      <c r="O112" s="23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05" t="s">
        <v>193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203</v>
      </c>
      <c r="C3" s="210" t="s">
        <v>0</v>
      </c>
      <c r="D3" s="211" t="s">
        <v>190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187</v>
      </c>
      <c r="N3" s="218" t="s">
        <v>175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153</v>
      </c>
      <c r="F4" s="223" t="s">
        <v>116</v>
      </c>
      <c r="G4" s="225" t="s">
        <v>173</v>
      </c>
      <c r="H4" s="256" t="s">
        <v>174</v>
      </c>
      <c r="I4" s="254" t="s">
        <v>186</v>
      </c>
      <c r="J4" s="252" t="s">
        <v>189</v>
      </c>
      <c r="K4" s="116" t="s">
        <v>172</v>
      </c>
      <c r="L4" s="121" t="s">
        <v>171</v>
      </c>
      <c r="M4" s="216"/>
      <c r="N4" s="235" t="s">
        <v>194</v>
      </c>
      <c r="O4" s="254" t="s">
        <v>136</v>
      </c>
      <c r="P4" s="218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57"/>
      <c r="I5" s="255"/>
      <c r="J5" s="253"/>
      <c r="K5" s="221" t="s">
        <v>188</v>
      </c>
      <c r="L5" s="222"/>
      <c r="M5" s="217"/>
      <c r="N5" s="236"/>
      <c r="O5" s="255"/>
      <c r="P5" s="218"/>
      <c r="Q5" s="221" t="s">
        <v>176</v>
      </c>
      <c r="R5" s="222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31"/>
      <c r="H137" s="231"/>
      <c r="I137" s="231"/>
      <c r="J137" s="23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2"/>
      <c r="O138" s="232"/>
    </row>
    <row r="139" spans="3:15" ht="15.75">
      <c r="C139" s="111">
        <v>42033</v>
      </c>
      <c r="D139" s="34">
        <v>2896.5</v>
      </c>
      <c r="F139" s="155" t="s">
        <v>166</v>
      </c>
      <c r="G139" s="238" t="s">
        <v>151</v>
      </c>
      <c r="H139" s="238"/>
      <c r="I139" s="106">
        <f>8909.733</f>
        <v>8909.733</v>
      </c>
      <c r="J139" s="250" t="s">
        <v>161</v>
      </c>
      <c r="K139" s="250"/>
      <c r="L139" s="250"/>
      <c r="M139" s="250"/>
      <c r="N139" s="232"/>
      <c r="O139" s="232"/>
    </row>
    <row r="140" spans="3:15" ht="15.75">
      <c r="C140" s="111">
        <v>42032</v>
      </c>
      <c r="D140" s="34">
        <v>2838.1</v>
      </c>
      <c r="G140" s="249" t="s">
        <v>155</v>
      </c>
      <c r="H140" s="249"/>
      <c r="I140" s="103">
        <v>0</v>
      </c>
      <c r="J140" s="251" t="s">
        <v>162</v>
      </c>
      <c r="K140" s="251"/>
      <c r="L140" s="251"/>
      <c r="M140" s="251"/>
      <c r="N140" s="232"/>
      <c r="O140" s="232"/>
    </row>
    <row r="141" spans="7:13" ht="15.75" customHeight="1">
      <c r="G141" s="238" t="s">
        <v>148</v>
      </c>
      <c r="H141" s="238"/>
      <c r="I141" s="103">
        <v>0</v>
      </c>
      <c r="J141" s="250" t="s">
        <v>163</v>
      </c>
      <c r="K141" s="250"/>
      <c r="L141" s="250"/>
      <c r="M141" s="250"/>
    </row>
    <row r="142" spans="2:13" ht="18.75" customHeight="1">
      <c r="B142" s="242" t="s">
        <v>160</v>
      </c>
      <c r="C142" s="243"/>
      <c r="D142" s="108">
        <f>132375.63</f>
        <v>132375.63</v>
      </c>
      <c r="E142" s="73"/>
      <c r="F142" s="156" t="s">
        <v>147</v>
      </c>
      <c r="G142" s="238" t="s">
        <v>149</v>
      </c>
      <c r="H142" s="238"/>
      <c r="I142" s="107">
        <f>123465.893</f>
        <v>123465.893</v>
      </c>
      <c r="J142" s="250" t="s">
        <v>164</v>
      </c>
      <c r="K142" s="250"/>
      <c r="L142" s="250"/>
      <c r="M142" s="250"/>
    </row>
    <row r="143" spans="7:12" ht="9.75" customHeight="1">
      <c r="G143" s="233"/>
      <c r="H143" s="233"/>
      <c r="I143" s="90"/>
      <c r="J143" s="91"/>
      <c r="K143" s="91"/>
      <c r="L143" s="91"/>
    </row>
    <row r="144" spans="2:12" ht="22.5" customHeight="1" hidden="1">
      <c r="B144" s="244" t="s">
        <v>167</v>
      </c>
      <c r="C144" s="245"/>
      <c r="D144" s="110">
        <v>0</v>
      </c>
      <c r="E144" s="70" t="s">
        <v>104</v>
      </c>
      <c r="G144" s="233"/>
      <c r="H144" s="233"/>
      <c r="I144" s="90"/>
      <c r="J144" s="91"/>
      <c r="K144" s="91"/>
      <c r="L144" s="91"/>
    </row>
    <row r="145" spans="4:15" ht="15.75">
      <c r="D145" s="105"/>
      <c r="N145" s="233"/>
      <c r="O145" s="233"/>
    </row>
    <row r="146" spans="4:15" ht="15.75">
      <c r="D146" s="104"/>
      <c r="I146" s="34"/>
      <c r="N146" s="246"/>
      <c r="O146" s="246"/>
    </row>
    <row r="147" spans="14:15" ht="15.75">
      <c r="N147" s="233"/>
      <c r="O147" s="233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2015-06-05T07:30:41Z</cp:lastPrinted>
  <dcterms:created xsi:type="dcterms:W3CDTF">2003-07-28T11:27:56Z</dcterms:created>
  <dcterms:modified xsi:type="dcterms:W3CDTF">2015-06-05T07:43:38Z</dcterms:modified>
  <cp:category/>
  <cp:version/>
  <cp:contentType/>
  <cp:contentStatus/>
</cp:coreProperties>
</file>